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7"/>
  <workbookPr/>
  <mc:AlternateContent xmlns:mc="http://schemas.openxmlformats.org/markup-compatibility/2006">
    <mc:Choice Requires="x15">
      <x15ac:absPath xmlns:x15ac="http://schemas.microsoft.com/office/spreadsheetml/2010/11/ac" url="P:\MONTHEND\FY22\MBI\ARPA and Federal Funds Planning\"/>
    </mc:Choice>
  </mc:AlternateContent>
  <xr:revisionPtr revIDLastSave="0" documentId="8_{A81B8073-2055-4393-B743-7BC990742AD4}" xr6:coauthVersionLast="47" xr6:coauthVersionMax="47" xr10:uidLastSave="{00000000-0000-0000-0000-000000000000}"/>
  <bookViews>
    <workbookView xWindow="0" yWindow="0" windowWidth="19200" windowHeight="6735" xr2:uid="{00000000-000D-0000-FFFF-FFFF00000000}"/>
  </bookViews>
  <sheets>
    <sheet name="Gap Network Program Plan Budget" sheetId="1" r:id="rId1"/>
    <sheet name="Gap Networks Award-Exp Assump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D13" i="2" l="1"/>
  <c r="D14" i="2"/>
  <c r="C16" i="2"/>
  <c r="D15" i="2" s="1"/>
  <c r="B28" i="2" l="1"/>
  <c r="B27" i="2"/>
  <c r="B30" i="2" s="1"/>
  <c r="B24" i="2"/>
  <c r="E4" i="2"/>
  <c r="I8" i="2" s="1"/>
  <c r="C17" i="1"/>
  <c r="F16" i="1"/>
  <c r="E9" i="2"/>
  <c r="T9" i="2"/>
  <c r="S8" i="2"/>
  <c r="S9" i="2" s="1"/>
  <c r="C8" i="2"/>
  <c r="C7" i="2"/>
  <c r="F7" i="2"/>
  <c r="J4" i="2"/>
  <c r="K4" i="2"/>
  <c r="L4" i="2"/>
  <c r="P8" i="2" s="1"/>
  <c r="P9" i="2" s="1"/>
  <c r="I4" i="2"/>
  <c r="F4" i="2"/>
  <c r="G4" i="2"/>
  <c r="H4" i="2"/>
  <c r="I7" i="2" l="1"/>
  <c r="H7" i="2"/>
  <c r="H9" i="2" s="1"/>
  <c r="N8" i="2"/>
  <c r="O8" i="2"/>
  <c r="O9" i="2" s="1"/>
  <c r="J7" i="2"/>
  <c r="J8" i="2"/>
  <c r="K8" i="2"/>
  <c r="G7" i="2"/>
  <c r="G9" i="2" s="1"/>
  <c r="M8" i="2"/>
  <c r="E17" i="1" s="1"/>
  <c r="K7" i="2"/>
  <c r="K9" i="2" s="1"/>
  <c r="I9" i="2"/>
  <c r="L8" i="2"/>
  <c r="N7" i="2"/>
  <c r="N9" i="2" s="1"/>
  <c r="M7" i="2"/>
  <c r="R8" i="2"/>
  <c r="R9" i="2" s="1"/>
  <c r="C16" i="1"/>
  <c r="F9" i="2"/>
  <c r="C9" i="2"/>
  <c r="U4" i="2"/>
  <c r="V4" i="2" s="1"/>
  <c r="L7" i="2"/>
  <c r="Q8" i="2"/>
  <c r="J9" i="2" l="1"/>
  <c r="D17" i="1"/>
  <c r="L9" i="2"/>
  <c r="U7" i="2"/>
  <c r="U8" i="2"/>
  <c r="V8" i="2" s="1"/>
  <c r="D16" i="1"/>
  <c r="E16" i="1"/>
  <c r="E21" i="1" s="1"/>
  <c r="M9" i="2"/>
  <c r="F17" i="1"/>
  <c r="Q9" i="2"/>
  <c r="G18" i="1"/>
  <c r="G7" i="1"/>
  <c r="G9" i="1"/>
  <c r="G10" i="1"/>
  <c r="G11" i="1"/>
  <c r="G12" i="1"/>
  <c r="G6" i="1"/>
  <c r="B21" i="1"/>
  <c r="C21" i="1"/>
  <c r="F13" i="1"/>
  <c r="B13" i="1"/>
  <c r="C13" i="1"/>
  <c r="D13" i="1"/>
  <c r="E13" i="1"/>
  <c r="G17" i="1" l="1"/>
  <c r="G16" i="1"/>
  <c r="D21" i="1"/>
  <c r="D23" i="1" s="1"/>
  <c r="F21" i="1"/>
  <c r="G8" i="1"/>
  <c r="V7" i="2"/>
  <c r="U9" i="2"/>
  <c r="E23" i="1"/>
  <c r="C23" i="1"/>
  <c r="B23" i="1"/>
  <c r="G13" i="1"/>
  <c r="F23" i="1" l="1"/>
  <c r="G21" i="1"/>
  <c r="G23" i="1" s="1"/>
</calcChain>
</file>

<file path=xl/sharedStrings.xml><?xml version="1.0" encoding="utf-8"?>
<sst xmlns="http://schemas.openxmlformats.org/spreadsheetml/2006/main" count="60" uniqueCount="51">
  <si>
    <t>Massachusetts Broadband Infrastructure Program Plan Budget</t>
  </si>
  <si>
    <t>Gap Networks Program</t>
  </si>
  <si>
    <t>Total</t>
  </si>
  <si>
    <t>Program Administrative Costs</t>
  </si>
  <si>
    <t>2a. Administering the CPF funds (by the Recipient)</t>
  </si>
  <si>
    <t>2b. Technical assistance to potential subrecipients</t>
  </si>
  <si>
    <t>2c. Complying with grant administration and audit requirements</t>
  </si>
  <si>
    <t>2d. Community Engagement</t>
  </si>
  <si>
    <t>2e.  Mapping</t>
  </si>
  <si>
    <t>2f.</t>
  </si>
  <si>
    <t>2g.</t>
  </si>
  <si>
    <t>2. Total Program Administrative Costs (not to exceed amounts listed in source of funding)</t>
  </si>
  <si>
    <t>Project Costs</t>
  </si>
  <si>
    <t>Gap Network Construction Grants-Design, Engineering, and Permitting Costs</t>
  </si>
  <si>
    <t>Gap Network Construction Grants-Construction Costs</t>
  </si>
  <si>
    <t>3. Total Project Costs</t>
  </si>
  <si>
    <t>Total Costs</t>
  </si>
  <si>
    <t>Gap Network Award Allocation</t>
  </si>
  <si>
    <t>Commitment</t>
  </si>
  <si>
    <t>TOTAL</t>
  </si>
  <si>
    <t>FY2023 through December</t>
  </si>
  <si>
    <t>Gap Network Awards</t>
  </si>
  <si>
    <t>40% of $145M awarded in Yr 1
60% of $145M awarded in Yr 2</t>
  </si>
  <si>
    <t>Expenditures</t>
  </si>
  <si>
    <t>Assumes 35% of total awards, 
M1 15% of award, 3 months after award
M2 20% of award, 6 months after award</t>
  </si>
  <si>
    <t>Assumes 65% of total awards, 
M3 20% of total costs, 15 month from award
M4 35% of total costs, 18 months from award
Final Holdback Payment 10%, 3 months from M4</t>
  </si>
  <si>
    <t>Other Assumptions</t>
  </si>
  <si>
    <t>4 rounds in each year CY 2023 and 2024</t>
  </si>
  <si>
    <t>40% in 2023</t>
  </si>
  <si>
    <t>% of program costs</t>
  </si>
  <si>
    <t>60% 2024</t>
  </si>
  <si>
    <t>% of total award</t>
  </si>
  <si>
    <t>Milestone Payment and Time Projections</t>
  </si>
  <si>
    <t>Larger Projects (basis for budgeting to be more conservative as smaller projects would have a quicker completion timeframe)</t>
  </si>
  <si>
    <t>3 month</t>
  </si>
  <si>
    <t>M1</t>
  </si>
  <si>
    <t>submission of make ready applications and cable franchise if needed</t>
  </si>
  <si>
    <t>3 months</t>
  </si>
  <si>
    <t xml:space="preserve">M2 </t>
  </si>
  <si>
    <t>payment of all make ready fees</t>
  </si>
  <si>
    <t>9 months</t>
  </si>
  <si>
    <t>M3</t>
  </si>
  <si>
    <t>50% of passings constructions</t>
  </si>
  <si>
    <t>M4</t>
  </si>
  <si>
    <t>100% of passings</t>
  </si>
  <si>
    <t>Final</t>
  </si>
  <si>
    <t xml:space="preserve">final completion project close-out, customer premised </t>
  </si>
  <si>
    <t>Smaller Projects</t>
  </si>
  <si>
    <t>all apps and make ready payments</t>
  </si>
  <si>
    <t>M2</t>
  </si>
  <si>
    <t>final completion and project close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</si>
</sst>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9" fontId="0" fillId="0" borderId="0" xfId="0" applyNumberFormat="1"/>
    <xf numFmtId="164" fontId="1" fillId="0" borderId="1" xfId="1" applyNumberFormat="1" applyFont="1" applyBorder="1" applyAlignment="1">
      <alignment vertical="center" wrapText="1"/>
    </xf>
    <xf numFmtId="164" fontId="1" fillId="0" borderId="2" xfId="1" applyNumberFormat="1" applyFont="1" applyBorder="1" applyAlignment="1">
      <alignment vertical="center" wrapText="1"/>
    </xf>
    <xf numFmtId="164" fontId="1" fillId="0" borderId="3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4" fillId="0" borderId="0" xfId="0" applyFont="1"/>
    <xf numFmtId="164" fontId="0" fillId="0" borderId="0" xfId="1" applyNumberFormat="1" applyFon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164" fontId="1" fillId="0" borderId="14" xfId="1" applyNumberFormat="1" applyFont="1" applyBorder="1" applyAlignment="1">
      <alignment vertical="center" wrapText="1"/>
    </xf>
    <xf numFmtId="0" fontId="0" fillId="0" borderId="14" xfId="0" applyBorder="1" applyAlignment="1">
      <alignment wrapText="1"/>
    </xf>
    <xf numFmtId="164" fontId="0" fillId="0" borderId="14" xfId="1" applyNumberFormat="1" applyFont="1" applyBorder="1"/>
    <xf numFmtId="0" fontId="0" fillId="0" borderId="14" xfId="0" applyBorder="1"/>
    <xf numFmtId="14" fontId="0" fillId="0" borderId="14" xfId="0" applyNumberFormat="1" applyBorder="1"/>
    <xf numFmtId="0" fontId="0" fillId="0" borderId="7" xfId="0" applyBorder="1"/>
    <xf numFmtId="164" fontId="2" fillId="0" borderId="17" xfId="1" applyNumberFormat="1" applyFont="1" applyBorder="1" applyAlignment="1">
      <alignment vertical="center" wrapText="1"/>
    </xf>
    <xf numFmtId="164" fontId="1" fillId="0" borderId="18" xfId="1" applyNumberFormat="1" applyFont="1" applyBorder="1" applyAlignment="1">
      <alignment vertical="center" wrapText="1"/>
    </xf>
    <xf numFmtId="164" fontId="1" fillId="0" borderId="6" xfId="1" applyNumberFormat="1" applyFont="1" applyBorder="1" applyAlignment="1">
      <alignment vertical="center" wrapText="1"/>
    </xf>
    <xf numFmtId="0" fontId="0" fillId="0" borderId="0" xfId="0" applyBorder="1"/>
    <xf numFmtId="0" fontId="4" fillId="0" borderId="19" xfId="0" applyFont="1" applyBorder="1"/>
    <xf numFmtId="0" fontId="0" fillId="0" borderId="8" xfId="0" applyBorder="1"/>
    <xf numFmtId="0" fontId="0" fillId="0" borderId="9" xfId="0" applyBorder="1"/>
    <xf numFmtId="0" fontId="0" fillId="0" borderId="20" xfId="0" applyBorder="1"/>
    <xf numFmtId="0" fontId="0" fillId="0" borderId="10" xfId="0" applyBorder="1"/>
    <xf numFmtId="9" fontId="0" fillId="0" borderId="0" xfId="0" applyNumberFormat="1" applyBorder="1"/>
    <xf numFmtId="0" fontId="0" fillId="0" borderId="20" xfId="0" applyBorder="1" applyAlignment="1">
      <alignment horizontal="right"/>
    </xf>
    <xf numFmtId="9" fontId="5" fillId="0" borderId="0" xfId="0" applyNumberFormat="1" applyFont="1" applyBorder="1"/>
    <xf numFmtId="9" fontId="5" fillId="0" borderId="0" xfId="2" applyFont="1" applyBorder="1"/>
    <xf numFmtId="0" fontId="0" fillId="0" borderId="13" xfId="0" applyBorder="1"/>
    <xf numFmtId="43" fontId="0" fillId="0" borderId="5" xfId="1" applyFont="1" applyBorder="1"/>
    <xf numFmtId="0" fontId="0" fillId="0" borderId="5" xfId="0" applyBorder="1"/>
    <xf numFmtId="164" fontId="1" fillId="0" borderId="2" xfId="1" applyNumberFormat="1" applyFont="1" applyFill="1" applyBorder="1" applyAlignment="1">
      <alignment vertical="center" wrapText="1"/>
    </xf>
    <xf numFmtId="164" fontId="1" fillId="0" borderId="21" xfId="1" applyNumberFormat="1" applyFont="1" applyBorder="1" applyAlignment="1">
      <alignment vertical="center" wrapText="1"/>
    </xf>
    <xf numFmtId="164" fontId="1" fillId="0" borderId="17" xfId="1" applyNumberFormat="1" applyFont="1" applyBorder="1" applyAlignment="1">
      <alignment vertical="center" wrapText="1"/>
    </xf>
    <xf numFmtId="164" fontId="1" fillId="0" borderId="22" xfId="1" applyNumberFormat="1" applyFont="1" applyBorder="1" applyAlignment="1">
      <alignment vertical="center" wrapText="1"/>
    </xf>
    <xf numFmtId="164" fontId="1" fillId="0" borderId="23" xfId="1" applyNumberFormat="1" applyFont="1" applyBorder="1" applyAlignment="1">
      <alignment vertical="center" wrapText="1"/>
    </xf>
    <xf numFmtId="164" fontId="1" fillId="0" borderId="24" xfId="1" applyNumberFormat="1" applyFont="1" applyBorder="1" applyAlignment="1">
      <alignment vertical="center" wrapText="1"/>
    </xf>
    <xf numFmtId="164" fontId="1" fillId="0" borderId="25" xfId="1" applyNumberFormat="1" applyFont="1" applyBorder="1" applyAlignment="1">
      <alignment vertical="center" wrapText="1"/>
    </xf>
    <xf numFmtId="164" fontId="1" fillId="0" borderId="26" xfId="1" applyNumberFormat="1" applyFont="1" applyBorder="1" applyAlignment="1">
      <alignment vertical="center" wrapText="1"/>
    </xf>
    <xf numFmtId="164" fontId="1" fillId="0" borderId="27" xfId="1" applyNumberFormat="1" applyFont="1" applyBorder="1" applyAlignment="1">
      <alignment vertical="center" wrapText="1"/>
    </xf>
    <xf numFmtId="164" fontId="1" fillId="0" borderId="28" xfId="1" applyNumberFormat="1" applyFont="1" applyBorder="1" applyAlignment="1">
      <alignment vertical="center" wrapText="1"/>
    </xf>
    <xf numFmtId="164" fontId="1" fillId="0" borderId="13" xfId="1" applyNumberFormat="1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164" fontId="2" fillId="2" borderId="32" xfId="1" applyNumberFormat="1" applyFont="1" applyFill="1" applyBorder="1" applyAlignment="1">
      <alignment horizontal="center" vertical="center" wrapText="1"/>
    </xf>
    <xf numFmtId="164" fontId="2" fillId="2" borderId="33" xfId="1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4"/>
    </xf>
    <xf numFmtId="0" fontId="2" fillId="0" borderId="13" xfId="0" applyFont="1" applyBorder="1" applyAlignment="1">
      <alignment horizontal="left" vertical="center" wrapText="1" indent="4"/>
    </xf>
    <xf numFmtId="43" fontId="0" fillId="0" borderId="0" xfId="1" applyFont="1" applyBorder="1"/>
    <xf numFmtId="43" fontId="6" fillId="0" borderId="0" xfId="1" applyFont="1" applyBorder="1"/>
    <xf numFmtId="165" fontId="0" fillId="0" borderId="0" xfId="2" applyNumberFormat="1" applyFont="1" applyBorder="1"/>
    <xf numFmtId="0" fontId="4" fillId="0" borderId="0" xfId="0" applyFont="1" applyBorder="1" applyAlignment="1">
      <alignment horizontal="center"/>
    </xf>
    <xf numFmtId="164" fontId="2" fillId="2" borderId="29" xfId="1" applyNumberFormat="1" applyFont="1" applyFill="1" applyBorder="1" applyAlignment="1">
      <alignment horizontal="center" vertical="center" wrapText="1"/>
    </xf>
    <xf numFmtId="164" fontId="2" fillId="2" borderId="30" xfId="1" applyNumberFormat="1" applyFont="1" applyFill="1" applyBorder="1" applyAlignment="1">
      <alignment horizontal="center" vertical="center" wrapText="1"/>
    </xf>
    <xf numFmtId="164" fontId="2" fillId="2" borderId="3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4" fontId="2" fillId="2" borderId="28" xfId="1" applyNumberFormat="1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E7" sqref="E7"/>
    </sheetView>
  </sheetViews>
  <sheetFormatPr defaultRowHeight="15"/>
  <cols>
    <col min="1" max="1" width="34.85546875" customWidth="1"/>
    <col min="2" max="2" width="10.5703125" customWidth="1"/>
    <col min="3" max="3" width="12.5703125" customWidth="1"/>
    <col min="4" max="4" width="13" customWidth="1"/>
    <col min="5" max="5" width="13.140625" customWidth="1"/>
    <col min="6" max="6" width="12.7109375" customWidth="1"/>
    <col min="7" max="7" width="14.42578125" customWidth="1"/>
    <col min="8" max="8" width="10.5703125" bestFit="1" customWidth="1"/>
    <col min="9" max="9" width="10" bestFit="1" customWidth="1"/>
  </cols>
  <sheetData>
    <row r="1" spans="1:8">
      <c r="A1" s="65" t="s">
        <v>0</v>
      </c>
      <c r="B1" s="65"/>
      <c r="C1" s="65"/>
      <c r="D1" s="65"/>
      <c r="E1" s="65"/>
      <c r="F1" s="65"/>
      <c r="G1" s="65"/>
    </row>
    <row r="2" spans="1:8" ht="15.75" thickBot="1">
      <c r="A2" s="57"/>
      <c r="B2" s="57"/>
      <c r="C2" s="57"/>
      <c r="D2" s="57"/>
      <c r="E2" s="57"/>
      <c r="F2" s="57"/>
      <c r="G2" s="57"/>
    </row>
    <row r="3" spans="1:8" ht="15.75" thickBot="1">
      <c r="A3" s="63" t="s">
        <v>1</v>
      </c>
      <c r="B3" s="61"/>
      <c r="C3" s="61"/>
      <c r="D3" s="61"/>
      <c r="E3" s="61"/>
      <c r="F3" s="62"/>
      <c r="G3" s="20"/>
    </row>
    <row r="4" spans="1:8" ht="16.5" thickBot="1">
      <c r="A4" s="64"/>
      <c r="B4" s="51">
        <v>2022</v>
      </c>
      <c r="C4" s="52">
        <v>2023</v>
      </c>
      <c r="D4" s="52">
        <v>2024</v>
      </c>
      <c r="E4" s="52">
        <v>2025</v>
      </c>
      <c r="F4" s="52">
        <v>2026</v>
      </c>
      <c r="G4" s="53" t="s">
        <v>2</v>
      </c>
    </row>
    <row r="5" spans="1:8" ht="16.5" thickBot="1">
      <c r="A5" s="66" t="s">
        <v>3</v>
      </c>
      <c r="B5" s="67"/>
      <c r="C5" s="67"/>
      <c r="D5" s="67"/>
      <c r="E5" s="67"/>
      <c r="F5" s="68"/>
      <c r="G5" s="50"/>
    </row>
    <row r="6" spans="1:8" ht="42" customHeight="1" thickBot="1">
      <c r="A6" s="2" t="s">
        <v>4</v>
      </c>
      <c r="B6" s="37">
        <v>445220.09045070247</v>
      </c>
      <c r="C6" s="37">
        <v>1007053.5457016295</v>
      </c>
      <c r="D6" s="37">
        <v>1142393.2253457229</v>
      </c>
      <c r="E6" s="37">
        <v>1172376.8911545861</v>
      </c>
      <c r="F6" s="37">
        <v>1182972.1358169855</v>
      </c>
      <c r="G6" s="37">
        <f t="shared" ref="G6:G13" si="0">SUM(B6:F6)</f>
        <v>4950015.8884696271</v>
      </c>
    </row>
    <row r="7" spans="1:8" ht="42" customHeight="1" thickBot="1">
      <c r="A7" s="2" t="s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8" ht="42" customHeight="1" thickBot="1">
      <c r="A8" s="4" t="s">
        <v>6</v>
      </c>
      <c r="B8" s="38">
        <v>155991</v>
      </c>
      <c r="C8" s="38">
        <f>341541+15000</f>
        <v>356541</v>
      </c>
      <c r="D8" s="38">
        <f>344892+15000</f>
        <v>359892</v>
      </c>
      <c r="E8" s="38">
        <f>348310+15000</f>
        <v>363310</v>
      </c>
      <c r="F8" s="38">
        <f>351796+15000</f>
        <v>366796</v>
      </c>
      <c r="G8" s="38">
        <f t="shared" si="0"/>
        <v>1602530</v>
      </c>
      <c r="H8" s="9"/>
    </row>
    <row r="9" spans="1:8" ht="16.5" thickBot="1">
      <c r="A9" s="39" t="s">
        <v>7</v>
      </c>
      <c r="B9" s="40">
        <v>50000</v>
      </c>
      <c r="C9" s="40">
        <v>100000</v>
      </c>
      <c r="D9" s="40">
        <v>100000</v>
      </c>
      <c r="E9" s="40"/>
      <c r="F9" s="40"/>
      <c r="G9" s="41">
        <f t="shared" si="0"/>
        <v>250000</v>
      </c>
    </row>
    <row r="10" spans="1:8" ht="16.5" thickBot="1">
      <c r="A10" s="2" t="s">
        <v>8</v>
      </c>
      <c r="B10" s="3"/>
      <c r="C10" s="3">
        <v>600000</v>
      </c>
      <c r="D10" s="3">
        <v>200000</v>
      </c>
      <c r="E10" s="3">
        <v>195428</v>
      </c>
      <c r="F10" s="3"/>
      <c r="G10" s="3">
        <f t="shared" si="0"/>
        <v>995428</v>
      </c>
    </row>
    <row r="11" spans="1:8" ht="16.5" thickBot="1">
      <c r="A11" s="2" t="s">
        <v>9</v>
      </c>
      <c r="B11" s="3"/>
      <c r="C11" s="3"/>
      <c r="D11" s="3"/>
      <c r="E11" s="3"/>
      <c r="F11" s="3"/>
      <c r="G11" s="3">
        <f t="shared" si="0"/>
        <v>0</v>
      </c>
    </row>
    <row r="12" spans="1:8" ht="16.5" thickBot="1">
      <c r="A12" s="2" t="s">
        <v>10</v>
      </c>
      <c r="B12" s="3"/>
      <c r="C12" s="3"/>
      <c r="D12" s="3"/>
      <c r="E12" s="3"/>
      <c r="F12" s="3"/>
      <c r="G12" s="3">
        <f t="shared" si="0"/>
        <v>0</v>
      </c>
    </row>
    <row r="13" spans="1:8" ht="51" customHeight="1" thickBot="1">
      <c r="A13" s="48" t="s">
        <v>11</v>
      </c>
      <c r="B13" s="38">
        <f t="shared" ref="B13:F13" si="1">SUM(B6:B12)</f>
        <v>651211.09045070247</v>
      </c>
      <c r="C13" s="38">
        <f t="shared" si="1"/>
        <v>2063594.5457016295</v>
      </c>
      <c r="D13" s="38">
        <f t="shared" si="1"/>
        <v>1802285.2253457229</v>
      </c>
      <c r="E13" s="38">
        <f t="shared" si="1"/>
        <v>1731114.8911545861</v>
      </c>
      <c r="F13" s="38">
        <f t="shared" si="1"/>
        <v>1549768.1358169855</v>
      </c>
      <c r="G13" s="38">
        <f t="shared" si="0"/>
        <v>7797973.8884696262</v>
      </c>
    </row>
    <row r="14" spans="1:8" ht="16.5" thickBot="1">
      <c r="A14" s="58" t="s">
        <v>12</v>
      </c>
      <c r="B14" s="59"/>
      <c r="C14" s="59"/>
      <c r="D14" s="59"/>
      <c r="E14" s="59"/>
      <c r="F14" s="60"/>
      <c r="G14" s="49"/>
    </row>
    <row r="15" spans="1:8" ht="16.5" thickBot="1">
      <c r="A15" s="6"/>
      <c r="B15" s="38"/>
      <c r="C15" s="38"/>
      <c r="D15" s="38"/>
      <c r="E15" s="38"/>
      <c r="F15" s="38"/>
      <c r="G15" s="38"/>
    </row>
    <row r="16" spans="1:8" ht="42.75" customHeight="1" thickBot="1">
      <c r="A16" s="42" t="s">
        <v>13</v>
      </c>
      <c r="B16" s="43">
        <v>0</v>
      </c>
      <c r="C16" s="43">
        <f>+SUM('Gap Networks Award-Exp Assumpts'!E7:H7)</f>
        <v>12325000</v>
      </c>
      <c r="D16" s="43">
        <f>+SUM('Gap Networks Award-Exp Assumpts'!I7:L7)</f>
        <v>26462500</v>
      </c>
      <c r="E16" s="43">
        <f>+SUM('Gap Networks Award-Exp Assumpts'!M7:P7)</f>
        <v>11962500</v>
      </c>
      <c r="F16" s="43">
        <f>+SUM('Gap Networks Award-Exp Assumpts'!Q7:T7)</f>
        <v>0</v>
      </c>
      <c r="G16" s="44">
        <f>SUM(B16:F16)</f>
        <v>50750000</v>
      </c>
    </row>
    <row r="17" spans="1:11" ht="42.75" customHeight="1" thickBot="1">
      <c r="A17" s="45" t="s">
        <v>14</v>
      </c>
      <c r="B17" s="46">
        <v>0</v>
      </c>
      <c r="C17" s="46">
        <f>+SUM('Gap Networks Award-Exp Assumpts'!E8:H8)</f>
        <v>0</v>
      </c>
      <c r="D17" s="46">
        <f>+SUM('Gap Networks Award-Exp Assumpts'!I8:L8)</f>
        <v>29725000</v>
      </c>
      <c r="E17" s="46">
        <f>+SUM('Gap Networks Award-Exp Assumpts'!M8:P8)</f>
        <v>52562500</v>
      </c>
      <c r="F17" s="46">
        <f>+SUM('Gap Networks Award-Exp Assumpts'!Q8:T8)</f>
        <v>11962500</v>
      </c>
      <c r="G17" s="47">
        <f>SUM(B17:F17)</f>
        <v>94250000</v>
      </c>
      <c r="K17" s="1"/>
    </row>
    <row r="18" spans="1:11" ht="16.5" thickBot="1">
      <c r="A18" s="2"/>
      <c r="B18" s="3"/>
      <c r="C18" s="3"/>
      <c r="D18" s="3"/>
      <c r="E18" s="3"/>
      <c r="F18" s="3"/>
      <c r="G18" s="3">
        <f>SUM(B18:F18)</f>
        <v>0</v>
      </c>
      <c r="K18" s="1"/>
    </row>
    <row r="19" spans="1:11" ht="16.5" thickBot="1">
      <c r="A19" s="2"/>
      <c r="B19" s="3"/>
      <c r="C19" s="3"/>
      <c r="D19" s="3"/>
      <c r="E19" s="3"/>
      <c r="F19" s="3"/>
      <c r="G19" s="3"/>
      <c r="K19" s="1"/>
    </row>
    <row r="20" spans="1:11" ht="16.5" thickBot="1">
      <c r="A20" s="2"/>
      <c r="B20" s="3"/>
      <c r="C20" s="3"/>
      <c r="D20" s="3"/>
      <c r="E20" s="3"/>
      <c r="F20" s="3"/>
      <c r="G20" s="3"/>
    </row>
    <row r="21" spans="1:11" ht="16.5" thickBot="1">
      <c r="A21" s="5" t="s">
        <v>15</v>
      </c>
      <c r="B21" s="3">
        <f t="shared" ref="B21:F21" si="2">SUM(B15:B20)</f>
        <v>0</v>
      </c>
      <c r="C21" s="3">
        <f t="shared" si="2"/>
        <v>12325000</v>
      </c>
      <c r="D21" s="3">
        <f t="shared" si="2"/>
        <v>56187500</v>
      </c>
      <c r="E21" s="3">
        <f t="shared" si="2"/>
        <v>64525000</v>
      </c>
      <c r="F21" s="3">
        <f t="shared" si="2"/>
        <v>11962500</v>
      </c>
      <c r="G21" s="3">
        <f>SUM(B21:F21)</f>
        <v>145000000</v>
      </c>
    </row>
    <row r="22" spans="1:11" ht="15.75" thickBot="1">
      <c r="A22" s="8"/>
      <c r="K22" s="1"/>
    </row>
    <row r="23" spans="1:11" ht="16.5" thickBot="1">
      <c r="A23" s="21" t="s">
        <v>16</v>
      </c>
      <c r="B23" s="22">
        <f t="shared" ref="B23:G23" si="3">+B21+B13</f>
        <v>651211.09045070247</v>
      </c>
      <c r="C23" s="22">
        <f t="shared" si="3"/>
        <v>14388594.54570163</v>
      </c>
      <c r="D23" s="22">
        <f t="shared" si="3"/>
        <v>57989785.225345723</v>
      </c>
      <c r="E23" s="22">
        <f t="shared" si="3"/>
        <v>66256114.891154587</v>
      </c>
      <c r="F23" s="22">
        <f t="shared" si="3"/>
        <v>13512268.135816986</v>
      </c>
      <c r="G23" s="23">
        <f t="shared" si="3"/>
        <v>152797973.88846964</v>
      </c>
      <c r="K23" s="1"/>
    </row>
  </sheetData>
  <mergeCells count="5">
    <mergeCell ref="A14:F14"/>
    <mergeCell ref="B3:F3"/>
    <mergeCell ref="A3:A4"/>
    <mergeCell ref="A1:G1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0"/>
  <sheetViews>
    <sheetView topLeftCell="A14" workbookViewId="0">
      <selection activeCell="D16" sqref="D16"/>
    </sheetView>
  </sheetViews>
  <sheetFormatPr defaultRowHeight="15"/>
  <cols>
    <col min="1" max="1" width="32.7109375" customWidth="1"/>
    <col min="2" max="4" width="21.28515625" customWidth="1"/>
    <col min="5" max="20" width="18.140625" customWidth="1"/>
    <col min="21" max="21" width="18.85546875" customWidth="1"/>
    <col min="22" max="22" width="12.28515625" customWidth="1"/>
  </cols>
  <sheetData>
    <row r="1" spans="1:22" ht="15.75" thickBot="1"/>
    <row r="2" spans="1:22" ht="15.75" thickBot="1">
      <c r="A2" s="14" t="s">
        <v>17</v>
      </c>
      <c r="B2" s="35">
        <v>145000000</v>
      </c>
      <c r="C2" s="36"/>
      <c r="D2" s="36"/>
      <c r="E2" s="69">
        <v>0.4</v>
      </c>
      <c r="F2" s="70"/>
      <c r="G2" s="70"/>
      <c r="H2" s="70"/>
      <c r="I2" s="69">
        <v>0.6</v>
      </c>
      <c r="J2" s="70"/>
      <c r="K2" s="70"/>
      <c r="L2" s="71"/>
    </row>
    <row r="3" spans="1:22">
      <c r="A3" s="10" t="s">
        <v>18</v>
      </c>
      <c r="C3" t="s">
        <v>19</v>
      </c>
      <c r="D3" t="s">
        <v>20</v>
      </c>
      <c r="E3" s="7">
        <v>45016</v>
      </c>
      <c r="F3" s="7">
        <v>45107</v>
      </c>
      <c r="G3" s="7">
        <v>45199</v>
      </c>
      <c r="H3" s="7">
        <v>45291</v>
      </c>
      <c r="I3" s="7">
        <v>45382</v>
      </c>
      <c r="J3" s="7">
        <v>45473</v>
      </c>
      <c r="K3" s="7">
        <v>45565</v>
      </c>
      <c r="L3" s="7">
        <v>45657</v>
      </c>
      <c r="M3" s="7">
        <v>45747</v>
      </c>
      <c r="N3" s="7">
        <v>45838</v>
      </c>
      <c r="O3" s="7">
        <v>45930</v>
      </c>
      <c r="P3" s="7">
        <v>46022</v>
      </c>
      <c r="Q3" s="7">
        <v>46112</v>
      </c>
      <c r="R3" s="7">
        <v>46203</v>
      </c>
      <c r="S3" s="7">
        <v>46295</v>
      </c>
      <c r="T3" s="7">
        <v>46387</v>
      </c>
      <c r="U3" s="7" t="s">
        <v>2</v>
      </c>
    </row>
    <row r="4" spans="1:22" ht="60">
      <c r="A4" s="18" t="s">
        <v>21</v>
      </c>
      <c r="B4" s="16" t="s">
        <v>22</v>
      </c>
      <c r="C4" s="17">
        <v>145000000</v>
      </c>
      <c r="D4" s="17"/>
      <c r="E4" s="17">
        <f>+$B$2*$E$2/4</f>
        <v>14500000</v>
      </c>
      <c r="F4" s="17">
        <f>+$B$2*$E$2/4</f>
        <v>14500000</v>
      </c>
      <c r="G4" s="17">
        <f>+$B$2*$E$2/4</f>
        <v>14500000</v>
      </c>
      <c r="H4" s="17">
        <f>+$B$2*$E$2/4</f>
        <v>14500000</v>
      </c>
      <c r="I4" s="17">
        <f>+$B$2/4*$I$2</f>
        <v>21750000</v>
      </c>
      <c r="J4" s="17">
        <f>+$B$2/4*$I$2</f>
        <v>21750000</v>
      </c>
      <c r="K4" s="17">
        <f>+$B$2/4*$I$2</f>
        <v>21750000</v>
      </c>
      <c r="L4" s="17">
        <f>+$B$2/4*$I$2</f>
        <v>21750000</v>
      </c>
      <c r="M4" s="19"/>
      <c r="N4" s="19"/>
      <c r="O4" s="19"/>
      <c r="P4" s="19"/>
      <c r="Q4" s="19"/>
      <c r="R4" s="19"/>
      <c r="S4" s="19"/>
      <c r="T4" s="19"/>
      <c r="U4" s="17">
        <f>SUM(E4:T4)</f>
        <v>145000000</v>
      </c>
      <c r="V4" s="9">
        <f>+U4-C4</f>
        <v>0</v>
      </c>
    </row>
    <row r="5" spans="1:22">
      <c r="B5" s="8"/>
      <c r="C5" s="8"/>
      <c r="D5" s="8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6"/>
      <c r="V5" s="9"/>
    </row>
    <row r="6" spans="1:22">
      <c r="A6" s="10" t="s">
        <v>23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90">
      <c r="A7" s="15" t="s">
        <v>13</v>
      </c>
      <c r="B7" s="16" t="s">
        <v>24</v>
      </c>
      <c r="C7" s="17">
        <f>+C4*0.35</f>
        <v>50750000</v>
      </c>
      <c r="D7" s="17"/>
      <c r="E7" s="17"/>
      <c r="F7" s="17">
        <f>+E4*0.15</f>
        <v>2175000</v>
      </c>
      <c r="G7" s="17">
        <f>+E4*0.2+F4*0.15</f>
        <v>5075000</v>
      </c>
      <c r="H7" s="17">
        <f t="shared" ref="H7:N7" si="0">+F4*0.2+G4*0.15</f>
        <v>5075000</v>
      </c>
      <c r="I7" s="17">
        <f t="shared" si="0"/>
        <v>5075000</v>
      </c>
      <c r="J7" s="17">
        <f t="shared" si="0"/>
        <v>6162500</v>
      </c>
      <c r="K7" s="17">
        <f t="shared" si="0"/>
        <v>7612500</v>
      </c>
      <c r="L7" s="17">
        <f t="shared" si="0"/>
        <v>7612500</v>
      </c>
      <c r="M7" s="17">
        <f t="shared" si="0"/>
        <v>7612500</v>
      </c>
      <c r="N7" s="17">
        <f t="shared" si="0"/>
        <v>4350000</v>
      </c>
      <c r="O7" s="17"/>
      <c r="P7" s="17"/>
      <c r="Q7" s="17"/>
      <c r="R7" s="17"/>
      <c r="S7" s="17"/>
      <c r="T7" s="17"/>
      <c r="U7" s="17">
        <f t="shared" ref="U7:U8" si="1">SUM(E7:T7)</f>
        <v>50750000</v>
      </c>
      <c r="V7" s="9">
        <f t="shared" ref="V7:V8" si="2">+U7-C7</f>
        <v>0</v>
      </c>
    </row>
    <row r="8" spans="1:22" ht="135">
      <c r="A8" s="15" t="s">
        <v>14</v>
      </c>
      <c r="B8" s="16" t="s">
        <v>25</v>
      </c>
      <c r="C8" s="17">
        <f>+C4*0.65</f>
        <v>94250000</v>
      </c>
      <c r="D8" s="17"/>
      <c r="E8" s="17"/>
      <c r="F8" s="17"/>
      <c r="G8" s="17"/>
      <c r="H8" s="17"/>
      <c r="I8" s="17">
        <f>+E4*0.2</f>
        <v>2900000</v>
      </c>
      <c r="J8" s="17">
        <f>+F4*0.2+E4*0.35</f>
        <v>7975000</v>
      </c>
      <c r="K8" s="17">
        <f>+G4*0.2+F4*0.35+E4*0.1</f>
        <v>9425000</v>
      </c>
      <c r="L8" s="17">
        <f t="shared" ref="L8:S8" si="3">+H4*0.2+G4*0.35+F4*0.1</f>
        <v>9425000</v>
      </c>
      <c r="M8" s="17">
        <f t="shared" si="3"/>
        <v>10875000</v>
      </c>
      <c r="N8" s="17">
        <f t="shared" si="3"/>
        <v>13412500</v>
      </c>
      <c r="O8" s="17">
        <f t="shared" si="3"/>
        <v>14137500</v>
      </c>
      <c r="P8" s="17">
        <f t="shared" si="3"/>
        <v>14137500</v>
      </c>
      <c r="Q8" s="17">
        <f t="shared" si="3"/>
        <v>9787500</v>
      </c>
      <c r="R8" s="17">
        <f t="shared" si="3"/>
        <v>2175000</v>
      </c>
      <c r="S8" s="17">
        <f t="shared" si="3"/>
        <v>0</v>
      </c>
      <c r="T8" s="17"/>
      <c r="U8" s="17">
        <f t="shared" si="1"/>
        <v>94250000</v>
      </c>
      <c r="V8" s="9">
        <f t="shared" si="2"/>
        <v>0</v>
      </c>
    </row>
    <row r="9" spans="1:22">
      <c r="A9" s="18"/>
      <c r="B9" s="18"/>
      <c r="C9" s="17">
        <f>SUM(C7:C8)</f>
        <v>145000000</v>
      </c>
      <c r="D9" s="17"/>
      <c r="E9" s="17">
        <f t="shared" ref="E9:U9" si="4">SUM(E7:E8)</f>
        <v>0</v>
      </c>
      <c r="F9" s="17">
        <f t="shared" si="4"/>
        <v>2175000</v>
      </c>
      <c r="G9" s="17">
        <f t="shared" si="4"/>
        <v>5075000</v>
      </c>
      <c r="H9" s="17">
        <f t="shared" si="4"/>
        <v>5075000</v>
      </c>
      <c r="I9" s="17">
        <f t="shared" si="4"/>
        <v>7975000</v>
      </c>
      <c r="J9" s="17">
        <f t="shared" si="4"/>
        <v>14137500</v>
      </c>
      <c r="K9" s="17">
        <f t="shared" si="4"/>
        <v>17037500</v>
      </c>
      <c r="L9" s="17">
        <f t="shared" si="4"/>
        <v>17037500</v>
      </c>
      <c r="M9" s="17">
        <f t="shared" si="4"/>
        <v>18487500</v>
      </c>
      <c r="N9" s="17">
        <f t="shared" si="4"/>
        <v>17762500</v>
      </c>
      <c r="O9" s="17">
        <f t="shared" si="4"/>
        <v>14137500</v>
      </c>
      <c r="P9" s="17">
        <f t="shared" si="4"/>
        <v>14137500</v>
      </c>
      <c r="Q9" s="17">
        <f t="shared" si="4"/>
        <v>9787500</v>
      </c>
      <c r="R9" s="17">
        <f t="shared" si="4"/>
        <v>2175000</v>
      </c>
      <c r="S9" s="17">
        <f t="shared" si="4"/>
        <v>0</v>
      </c>
      <c r="T9" s="17">
        <f t="shared" si="4"/>
        <v>0</v>
      </c>
      <c r="U9" s="17">
        <f t="shared" si="4"/>
        <v>145000000</v>
      </c>
    </row>
    <row r="10" spans="1:22" ht="15.75" thickBot="1">
      <c r="A10" s="24"/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2">
      <c r="A11" s="25" t="s">
        <v>26</v>
      </c>
      <c r="B11" s="26"/>
      <c r="C11" s="26"/>
      <c r="D11" s="26"/>
      <c r="E11" s="26"/>
      <c r="F11" s="26"/>
      <c r="G11" s="26"/>
      <c r="H11" s="26"/>
      <c r="I11" s="27"/>
    </row>
    <row r="12" spans="1:22">
      <c r="A12" s="28" t="s">
        <v>27</v>
      </c>
      <c r="B12" s="24"/>
      <c r="C12" s="24"/>
      <c r="D12" s="24"/>
      <c r="E12" s="24"/>
      <c r="F12" s="24"/>
      <c r="G12" s="24"/>
      <c r="H12" s="24"/>
      <c r="I12" s="29"/>
    </row>
    <row r="13" spans="1:22">
      <c r="A13" s="28" t="s">
        <v>28</v>
      </c>
      <c r="B13" s="24"/>
      <c r="C13" s="54">
        <v>145000000</v>
      </c>
      <c r="D13" s="56">
        <f>+C13/(C13+C14)</f>
        <v>0.87037763596718287</v>
      </c>
      <c r="E13" s="24" t="s">
        <v>29</v>
      </c>
      <c r="F13" s="24"/>
      <c r="G13" s="24"/>
      <c r="H13" s="24"/>
      <c r="I13" s="29"/>
    </row>
    <row r="14" spans="1:22">
      <c r="A14" s="28" t="s">
        <v>30</v>
      </c>
      <c r="B14" s="24"/>
      <c r="C14" s="54">
        <v>21594354</v>
      </c>
      <c r="D14" s="56">
        <f>+C14/(+C14+C13)</f>
        <v>0.1296223640328171</v>
      </c>
      <c r="E14" s="24" t="s">
        <v>29</v>
      </c>
      <c r="F14" s="24"/>
      <c r="G14" s="24"/>
      <c r="H14" s="24"/>
      <c r="I14" s="29"/>
    </row>
    <row r="15" spans="1:22" ht="17.25">
      <c r="A15" s="28"/>
      <c r="B15" s="24"/>
      <c r="C15" s="55">
        <v>8768124</v>
      </c>
      <c r="D15" s="56">
        <f>+C15/C16</f>
        <v>5.0000000570247415E-2</v>
      </c>
      <c r="E15" s="24" t="s">
        <v>31</v>
      </c>
      <c r="F15" s="24"/>
      <c r="G15" s="24"/>
      <c r="H15" s="24"/>
      <c r="I15" s="29"/>
    </row>
    <row r="16" spans="1:22">
      <c r="A16" s="28"/>
      <c r="B16" s="24"/>
      <c r="C16" s="54">
        <f>SUM(C13:C15)</f>
        <v>175362478</v>
      </c>
      <c r="D16" s="24"/>
      <c r="E16" s="24"/>
      <c r="F16" s="24"/>
      <c r="G16" s="24"/>
      <c r="H16" s="24"/>
      <c r="I16" s="29"/>
    </row>
    <row r="17" spans="1:9">
      <c r="A17" s="28"/>
      <c r="B17" s="24"/>
      <c r="C17" s="54"/>
      <c r="D17" s="24"/>
      <c r="E17" s="24"/>
      <c r="F17" s="24"/>
      <c r="G17" s="24"/>
      <c r="H17" s="24"/>
      <c r="I17" s="29"/>
    </row>
    <row r="18" spans="1:9">
      <c r="A18" s="28" t="s">
        <v>32</v>
      </c>
      <c r="B18" s="30"/>
      <c r="C18" s="24" t="s">
        <v>33</v>
      </c>
      <c r="D18" s="24"/>
      <c r="E18" s="24"/>
      <c r="F18" s="24"/>
      <c r="G18" s="24"/>
      <c r="H18" s="24"/>
      <c r="I18" s="29"/>
    </row>
    <row r="19" spans="1:9">
      <c r="A19" s="31" t="s">
        <v>34</v>
      </c>
      <c r="B19" s="30">
        <v>0.15</v>
      </c>
      <c r="C19" s="24" t="s">
        <v>35</v>
      </c>
      <c r="D19" s="24"/>
      <c r="E19" s="24" t="s">
        <v>36</v>
      </c>
      <c r="F19" s="24"/>
      <c r="G19" s="24"/>
      <c r="H19" s="24"/>
      <c r="I19" s="29"/>
    </row>
    <row r="20" spans="1:9">
      <c r="A20" s="31" t="s">
        <v>37</v>
      </c>
      <c r="B20" s="30">
        <v>0.2</v>
      </c>
      <c r="C20" s="24" t="s">
        <v>38</v>
      </c>
      <c r="D20" s="24"/>
      <c r="E20" s="24" t="s">
        <v>39</v>
      </c>
      <c r="F20" s="24"/>
      <c r="G20" s="24"/>
      <c r="H20" s="24"/>
      <c r="I20" s="29"/>
    </row>
    <row r="21" spans="1:9">
      <c r="A21" s="31" t="s">
        <v>40</v>
      </c>
      <c r="B21" s="30">
        <v>0.2</v>
      </c>
      <c r="C21" s="24" t="s">
        <v>41</v>
      </c>
      <c r="D21" s="24"/>
      <c r="E21" s="24" t="s">
        <v>42</v>
      </c>
      <c r="F21" s="24"/>
      <c r="G21" s="24"/>
      <c r="H21" s="24"/>
      <c r="I21" s="29"/>
    </row>
    <row r="22" spans="1:9">
      <c r="A22" s="31" t="s">
        <v>37</v>
      </c>
      <c r="B22" s="30">
        <v>0.35</v>
      </c>
      <c r="C22" s="24" t="s">
        <v>43</v>
      </c>
      <c r="D22" s="24"/>
      <c r="E22" s="24" t="s">
        <v>44</v>
      </c>
      <c r="F22" s="24"/>
      <c r="G22" s="24"/>
      <c r="H22" s="24"/>
      <c r="I22" s="29"/>
    </row>
    <row r="23" spans="1:9">
      <c r="A23" s="31" t="s">
        <v>37</v>
      </c>
      <c r="B23" s="32">
        <v>0.1</v>
      </c>
      <c r="C23" s="24" t="s">
        <v>45</v>
      </c>
      <c r="D23" s="24"/>
      <c r="E23" s="24" t="s">
        <v>46</v>
      </c>
      <c r="F23" s="24"/>
      <c r="G23" s="24"/>
      <c r="H23" s="24"/>
      <c r="I23" s="29"/>
    </row>
    <row r="24" spans="1:9">
      <c r="B24" s="30">
        <f>SUM(B19:B23)</f>
        <v>1</v>
      </c>
      <c r="C24" s="24"/>
      <c r="D24" s="24"/>
      <c r="E24" s="24"/>
      <c r="F24" s="24"/>
      <c r="G24" s="24"/>
      <c r="H24" s="24"/>
      <c r="I24" s="29"/>
    </row>
    <row r="25" spans="1:9">
      <c r="B25" s="24"/>
      <c r="C25" s="24"/>
      <c r="D25" s="24"/>
      <c r="E25" s="24"/>
      <c r="F25" s="24"/>
      <c r="G25" s="24"/>
      <c r="H25" s="24"/>
      <c r="I25" s="29"/>
    </row>
    <row r="26" spans="1:9">
      <c r="B26" s="24"/>
      <c r="C26" s="24" t="s">
        <v>47</v>
      </c>
      <c r="D26" s="24"/>
      <c r="E26" s="24"/>
      <c r="F26" s="24"/>
      <c r="G26" s="24"/>
      <c r="H26" s="24"/>
      <c r="I26" s="29"/>
    </row>
    <row r="27" spans="1:9">
      <c r="A27" s="28"/>
      <c r="B27" s="30">
        <f>+B19+B20</f>
        <v>0.35</v>
      </c>
      <c r="C27" s="24" t="s">
        <v>35</v>
      </c>
      <c r="D27" s="24"/>
      <c r="E27" s="24" t="s">
        <v>48</v>
      </c>
      <c r="F27" s="24"/>
      <c r="G27" s="24"/>
      <c r="H27" s="24"/>
      <c r="I27" s="29"/>
    </row>
    <row r="28" spans="1:9">
      <c r="A28" s="28"/>
      <c r="B28" s="30">
        <f>+B22+B21</f>
        <v>0.55000000000000004</v>
      </c>
      <c r="C28" s="24" t="s">
        <v>49</v>
      </c>
      <c r="D28" s="24"/>
      <c r="E28" s="24" t="s">
        <v>44</v>
      </c>
      <c r="F28" s="24"/>
      <c r="G28" s="24"/>
      <c r="H28" s="24"/>
      <c r="I28" s="29"/>
    </row>
    <row r="29" spans="1:9">
      <c r="A29" s="28"/>
      <c r="B29" s="33">
        <v>0.1</v>
      </c>
      <c r="C29" s="24" t="s">
        <v>41</v>
      </c>
      <c r="D29" s="24"/>
      <c r="E29" s="24" t="s">
        <v>50</v>
      </c>
      <c r="F29" s="24"/>
      <c r="G29" s="24"/>
      <c r="H29" s="24"/>
      <c r="I29" s="29"/>
    </row>
    <row r="30" spans="1:9">
      <c r="A30" s="28"/>
      <c r="B30" s="30">
        <f>SUM(B27:B29)</f>
        <v>1</v>
      </c>
      <c r="C30" s="24"/>
      <c r="D30" s="24"/>
      <c r="E30" s="24"/>
      <c r="F30" s="24"/>
      <c r="G30" s="24"/>
      <c r="H30" s="24"/>
      <c r="I30" s="29"/>
    </row>
    <row r="31" spans="1:9" ht="15.75" thickBot="1">
      <c r="A31" s="12"/>
      <c r="B31" s="13"/>
      <c r="C31" s="13"/>
      <c r="D31" s="13"/>
      <c r="E31" s="13"/>
      <c r="F31" s="13"/>
      <c r="G31" s="13"/>
      <c r="H31" s="13"/>
      <c r="I31" s="34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9" spans="6:6">
      <c r="F49" s="1"/>
    </row>
    <row r="50" spans="6:6">
      <c r="F50" s="1"/>
    </row>
  </sheetData>
  <mergeCells count="2">
    <mergeCell ref="E2:H2"/>
    <mergeCell ref="I2:L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BF67D54FDD4190052226A5589676" ma:contentTypeVersion="15" ma:contentTypeDescription="Create a new document." ma:contentTypeScope="" ma:versionID="f914799a8f580b44613c0e2a9e0bdd0a">
  <xsd:schema xmlns:xsd="http://www.w3.org/2001/XMLSchema" xmlns:xs="http://www.w3.org/2001/XMLSchema" xmlns:p="http://schemas.microsoft.com/office/2006/metadata/properties" xmlns:ns2="40ef933b-3421-4381-bac9-bc5f4a8e84ef" xmlns:ns3="7b83dbe2-6fd2-449a-a932-0d75829bf641" targetNamespace="http://schemas.microsoft.com/office/2006/metadata/properties" ma:root="true" ma:fieldsID="489d258e897aa53512fc5aba0d270b95" ns2:_="" ns3:_="">
    <xsd:import namespace="40ef933b-3421-4381-bac9-bc5f4a8e84ef"/>
    <xsd:import namespace="7b83dbe2-6fd2-449a-a932-0d75829bf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f933b-3421-4381-bac9-bc5f4a8e8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3dbe2-6fd2-449a-a932-0d75829bf6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2d04d0d-533d-443d-ad42-0697ce9248d7}" ma:internalName="TaxCatchAll" ma:showField="CatchAllData" ma:web="7b83dbe2-6fd2-449a-a932-0d75829bf6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ef933b-3421-4381-bac9-bc5f4a8e84ef">
      <Terms xmlns="http://schemas.microsoft.com/office/infopath/2007/PartnerControls"/>
    </lcf76f155ced4ddcb4097134ff3c332f>
    <TaxCatchAll xmlns="7b83dbe2-6fd2-449a-a932-0d75829bf6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97A1A3-BFE2-47B9-AB1B-89D78A47527B}"/>
</file>

<file path=customXml/itemProps2.xml><?xml version="1.0" encoding="utf-8"?>
<ds:datastoreItem xmlns:ds="http://schemas.openxmlformats.org/officeDocument/2006/customXml" ds:itemID="{9816E500-5112-4246-A985-20119E85FB52}"/>
</file>

<file path=customXml/itemProps3.xml><?xml version="1.0" encoding="utf-8"?>
<ds:datastoreItem xmlns:ds="http://schemas.openxmlformats.org/officeDocument/2006/customXml" ds:itemID="{AEF6D817-C1AA-434C-A6CF-78643D82CE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Erlandson</dc:creator>
  <cp:keywords/>
  <dc:description/>
  <cp:lastModifiedBy/>
  <cp:revision/>
  <dcterms:created xsi:type="dcterms:W3CDTF">2022-05-27T19:08:53Z</dcterms:created>
  <dcterms:modified xsi:type="dcterms:W3CDTF">2023-07-27T21:26:17Z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0x0101000B5FBF67D54FDD4190052226A5589676</vt:lpwstr>
  </property>
</Properties>
</file>